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ASUS\Desktop\Excel_ouyou\02実践問題\パターン１３\解答\"/>
    </mc:Choice>
  </mc:AlternateContent>
  <xr:revisionPtr revIDLastSave="0" documentId="13_ncr:1_{9E94A233-9BD9-4779-9026-0BF7F122BA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とりまとめ表" sheetId="5" r:id="rId1"/>
    <sheet name="一覧表" sheetId="2" r:id="rId2"/>
  </sheets>
  <definedNames>
    <definedName name="会員">一覧表!$B$4:$D$28</definedName>
    <definedName name="更新料">一覧表!$F$4:$G$6</definedName>
    <definedName name="種別">一覧表!$F$13:$G$16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5" l="1"/>
  <c r="N10" i="5"/>
  <c r="N8" i="5"/>
  <c r="M9" i="5"/>
  <c r="M10" i="5"/>
  <c r="M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8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</calcChain>
</file>

<file path=xl/sharedStrings.xml><?xml version="1.0" encoding="utf-8"?>
<sst xmlns="http://schemas.openxmlformats.org/spreadsheetml/2006/main" count="90" uniqueCount="87">
  <si>
    <t>会員一覧</t>
    <rPh sb="0" eb="2">
      <t>カイイン</t>
    </rPh>
    <rPh sb="2" eb="4">
      <t>イチラン</t>
    </rPh>
    <phoneticPr fontId="2"/>
  </si>
  <si>
    <t>更新料一覧</t>
    <rPh sb="0" eb="3">
      <t>コウシンリョウ</t>
    </rPh>
    <rPh sb="3" eb="5">
      <t>イチラン</t>
    </rPh>
    <phoneticPr fontId="2"/>
  </si>
  <si>
    <t>会員CD</t>
    <rPh sb="0" eb="2">
      <t>カイイン</t>
    </rPh>
    <phoneticPr fontId="2"/>
  </si>
  <si>
    <t>氏名</t>
    <rPh sb="0" eb="2">
      <t>シメイ</t>
    </rPh>
    <phoneticPr fontId="2"/>
  </si>
  <si>
    <t>入会日</t>
    <rPh sb="0" eb="2">
      <t>ニュウカイ</t>
    </rPh>
    <rPh sb="2" eb="3">
      <t>ビ</t>
    </rPh>
    <phoneticPr fontId="2"/>
  </si>
  <si>
    <t>更新料</t>
    <rPh sb="0" eb="3">
      <t>コウシンリョウ</t>
    </rPh>
    <phoneticPr fontId="2"/>
  </si>
  <si>
    <t>織田　邦義</t>
    <rPh sb="0" eb="2">
      <t>おりた</t>
    </rPh>
    <rPh sb="3" eb="5">
      <t>くによし</t>
    </rPh>
    <phoneticPr fontId="2" type="Hiragana"/>
  </si>
  <si>
    <t>海野　和夫</t>
    <rPh sb="0" eb="2">
      <t>うみの</t>
    </rPh>
    <rPh sb="3" eb="5">
      <t>かずお</t>
    </rPh>
    <phoneticPr fontId="2" type="Hiragana"/>
  </si>
  <si>
    <t>二階堂　直哉</t>
    <rPh sb="0" eb="3">
      <t>にかいどう</t>
    </rPh>
    <rPh sb="4" eb="6">
      <t>なおや</t>
    </rPh>
    <phoneticPr fontId="2" type="Hiragana"/>
  </si>
  <si>
    <t>山田　正行</t>
    <rPh sb="0" eb="2">
      <t>やまだ</t>
    </rPh>
    <rPh sb="3" eb="5">
      <t>まさゆき</t>
    </rPh>
    <phoneticPr fontId="2" type="Hiragana"/>
  </si>
  <si>
    <t>嶋元　和則</t>
    <rPh sb="0" eb="2">
      <t>しまもと</t>
    </rPh>
    <rPh sb="3" eb="5">
      <t>かずのり</t>
    </rPh>
    <phoneticPr fontId="2" type="Hiragana"/>
  </si>
  <si>
    <t>小沢　沙恵</t>
    <rPh sb="0" eb="2">
      <t>おざわ</t>
    </rPh>
    <rPh sb="3" eb="5">
      <t>さえ</t>
    </rPh>
    <phoneticPr fontId="2" type="Hiragana"/>
  </si>
  <si>
    <t>森繁　華</t>
    <rPh sb="0" eb="2">
      <t>もりしげ</t>
    </rPh>
    <rPh sb="3" eb="4">
      <t>はな</t>
    </rPh>
    <phoneticPr fontId="2" type="Hiragana"/>
  </si>
  <si>
    <t>江戸　美佐恵</t>
    <rPh sb="0" eb="2">
      <t>えど</t>
    </rPh>
    <rPh sb="3" eb="6">
      <t>みさえ</t>
    </rPh>
    <phoneticPr fontId="2" type="Hiragana"/>
  </si>
  <si>
    <t>小宮　宗一郎</t>
    <rPh sb="0" eb="2">
      <t>こみや</t>
    </rPh>
    <rPh sb="3" eb="6">
      <t>そういちろう</t>
    </rPh>
    <phoneticPr fontId="2" type="Hiragana"/>
  </si>
  <si>
    <t>種類</t>
    <rPh sb="0" eb="2">
      <t>シュルイ</t>
    </rPh>
    <phoneticPr fontId="2"/>
  </si>
  <si>
    <t>M</t>
    <phoneticPr fontId="2"/>
  </si>
  <si>
    <t>瀬名　敏美</t>
    <rPh sb="0" eb="2">
      <t>せな</t>
    </rPh>
    <rPh sb="3" eb="5">
      <t>としみ</t>
    </rPh>
    <phoneticPr fontId="2" type="Hiragana"/>
  </si>
  <si>
    <t>D</t>
    <phoneticPr fontId="2"/>
  </si>
  <si>
    <t>日向　ひとみ</t>
    <rPh sb="0" eb="2">
      <t>ひむかい</t>
    </rPh>
    <phoneticPr fontId="2" type="Hiragana"/>
  </si>
  <si>
    <t>N</t>
    <phoneticPr fontId="2"/>
  </si>
  <si>
    <t>S</t>
    <phoneticPr fontId="2"/>
  </si>
  <si>
    <t>神崎　幸樹</t>
    <rPh sb="0" eb="2">
      <t>かんざき</t>
    </rPh>
    <rPh sb="3" eb="5">
      <t>こうき</t>
    </rPh>
    <phoneticPr fontId="2" type="Hiragana"/>
  </si>
  <si>
    <t>林　聖良</t>
    <rPh sb="0" eb="1">
      <t>はやし</t>
    </rPh>
    <rPh sb="2" eb="4">
      <t>せいら</t>
    </rPh>
    <phoneticPr fontId="2" type="Hiragana"/>
  </si>
  <si>
    <t>黒川　仁</t>
    <rPh sb="0" eb="2">
      <t>くろかわ</t>
    </rPh>
    <rPh sb="3" eb="4">
      <t>ひとし</t>
    </rPh>
    <phoneticPr fontId="2" type="Hiragana"/>
  </si>
  <si>
    <t>森園　尚美</t>
    <rPh sb="0" eb="2">
      <t>もりぞの</t>
    </rPh>
    <rPh sb="3" eb="5">
      <t>なおみ</t>
    </rPh>
    <phoneticPr fontId="2" type="Hiragana"/>
  </si>
  <si>
    <t>小原　まさみ</t>
    <rPh sb="0" eb="2">
      <t>こはら</t>
    </rPh>
    <phoneticPr fontId="2" type="Hiragana"/>
  </si>
  <si>
    <t>塩崎　豊</t>
    <rPh sb="0" eb="2">
      <t>しおざき</t>
    </rPh>
    <rPh sb="3" eb="4">
      <t>ゆたか</t>
    </rPh>
    <phoneticPr fontId="2" type="Hiragana"/>
  </si>
  <si>
    <t>作成</t>
    <rPh sb="0" eb="2">
      <t>サクセイ</t>
    </rPh>
    <phoneticPr fontId="2"/>
  </si>
  <si>
    <t>管理CD</t>
    <rPh sb="0" eb="2">
      <t>カンリ</t>
    </rPh>
    <phoneticPr fontId="2"/>
  </si>
  <si>
    <t>入会日</t>
    <rPh sb="0" eb="2">
      <t>ニュウカイ</t>
    </rPh>
    <rPh sb="2" eb="3">
      <t>ヒ</t>
    </rPh>
    <phoneticPr fontId="2"/>
  </si>
  <si>
    <t>加入</t>
    <rPh sb="0" eb="2">
      <t>カニュウ</t>
    </rPh>
    <phoneticPr fontId="2"/>
  </si>
  <si>
    <t>入会年別集計</t>
    <rPh sb="0" eb="2">
      <t>ニュウカイ</t>
    </rPh>
    <rPh sb="2" eb="3">
      <t>ネン</t>
    </rPh>
    <rPh sb="3" eb="4">
      <t>ベツ</t>
    </rPh>
    <rPh sb="4" eb="6">
      <t>シュウケイ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</si>
  <si>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</si>
  <si>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</si>
  <si>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理由</t>
    <rPh sb="0" eb="2">
      <t>リユウ</t>
    </rPh>
    <phoneticPr fontId="2"/>
  </si>
  <si>
    <t>入会年</t>
    <rPh sb="0" eb="2">
      <t>ニュウカイ</t>
    </rPh>
    <rPh sb="2" eb="3">
      <t>ネン</t>
    </rPh>
    <phoneticPr fontId="2"/>
  </si>
  <si>
    <t>会員数</t>
    <rPh sb="0" eb="3">
      <t>カイインスウ</t>
    </rPh>
    <phoneticPr fontId="2"/>
  </si>
  <si>
    <t>更新料</t>
    <rPh sb="0" eb="2">
      <t>コウシン</t>
    </rPh>
    <rPh sb="2" eb="3">
      <t>リョウ</t>
    </rPh>
    <phoneticPr fontId="2"/>
  </si>
  <si>
    <t>ジム会員更新リスト表</t>
    <rPh sb="2" eb="4">
      <t>カイイン</t>
    </rPh>
    <rPh sb="4" eb="6">
      <t>コウシン</t>
    </rPh>
    <rPh sb="9" eb="10">
      <t>ヒョウ</t>
    </rPh>
    <phoneticPr fontId="2"/>
  </si>
  <si>
    <t>契約更新日</t>
    <rPh sb="0" eb="2">
      <t>ケイヤク</t>
    </rPh>
    <rPh sb="2" eb="4">
      <t>コウシン</t>
    </rPh>
    <rPh sb="4" eb="5">
      <t>ビ</t>
    </rPh>
    <phoneticPr fontId="2"/>
  </si>
  <si>
    <t>杉野　正博</t>
    <rPh sb="0" eb="1">
      <t>すぎ</t>
    </rPh>
    <rPh sb="1" eb="2">
      <t>の</t>
    </rPh>
    <rPh sb="3" eb="5">
      <t>まさひろ</t>
    </rPh>
    <phoneticPr fontId="2" type="Hiragana"/>
  </si>
  <si>
    <t>戸田　さえ子</t>
    <rPh sb="0" eb="2">
      <t>とだ</t>
    </rPh>
    <rPh sb="5" eb="6">
      <t>こ</t>
    </rPh>
    <phoneticPr fontId="2" type="Hiragana"/>
  </si>
  <si>
    <t>大村　悟志</t>
    <rPh sb="0" eb="2">
      <t>おおむら</t>
    </rPh>
    <rPh sb="3" eb="5">
      <t>さとし</t>
    </rPh>
    <phoneticPr fontId="2" type="Hiragana"/>
  </si>
  <si>
    <t>向　香澄</t>
    <rPh sb="0" eb="1">
      <t>むかい</t>
    </rPh>
    <rPh sb="2" eb="4">
      <t>かすみ</t>
    </rPh>
    <phoneticPr fontId="2" type="Hiragana"/>
  </si>
  <si>
    <t>城崎　えりな</t>
    <rPh sb="0" eb="2">
      <t>きのさき</t>
    </rPh>
    <phoneticPr fontId="2" type="Hiragana"/>
  </si>
  <si>
    <t>赤木　信吾</t>
    <rPh sb="0" eb="2">
      <t>あかぎ</t>
    </rPh>
    <rPh sb="3" eb="5">
      <t>しんご</t>
    </rPh>
    <phoneticPr fontId="2" type="Hiragana"/>
  </si>
  <si>
    <t>伊藤　真里亜</t>
    <rPh sb="0" eb="2">
      <t>いとう</t>
    </rPh>
    <rPh sb="3" eb="6">
      <t>まりあ</t>
    </rPh>
    <phoneticPr fontId="2" type="Hiragana"/>
  </si>
  <si>
    <t>山下　仁美</t>
    <rPh sb="0" eb="2">
      <t>やました</t>
    </rPh>
    <rPh sb="3" eb="5">
      <t>ひとみ</t>
    </rPh>
    <phoneticPr fontId="2" type="Hiragana"/>
  </si>
  <si>
    <t>モーニング会員</t>
    <rPh sb="5" eb="7">
      <t>カイイン</t>
    </rPh>
    <phoneticPr fontId="2"/>
  </si>
  <si>
    <t>終日会員</t>
    <rPh sb="0" eb="2">
      <t>シュウジツ</t>
    </rPh>
    <rPh sb="2" eb="4">
      <t>カイイン</t>
    </rPh>
    <phoneticPr fontId="2"/>
  </si>
  <si>
    <t>ナイト会員</t>
    <rPh sb="3" eb="5">
      <t>カイイン</t>
    </rPh>
    <phoneticPr fontId="2"/>
  </si>
  <si>
    <t>週末会員</t>
    <rPh sb="0" eb="2">
      <t>シュウマツ</t>
    </rPh>
    <rPh sb="2" eb="4">
      <t>カイイン</t>
    </rPh>
    <phoneticPr fontId="2"/>
  </si>
  <si>
    <t>種別一覧</t>
    <rPh sb="0" eb="2">
      <t>シュベツ</t>
    </rPh>
    <rPh sb="2" eb="4">
      <t>イチラン</t>
    </rPh>
    <phoneticPr fontId="2"/>
  </si>
  <si>
    <t>年数CD</t>
    <rPh sb="0" eb="2">
      <t>ネンスウ</t>
    </rPh>
    <phoneticPr fontId="2"/>
  </si>
  <si>
    <t>CD</t>
    <phoneticPr fontId="2"/>
  </si>
  <si>
    <t>101-M-2</t>
  </si>
  <si>
    <t>102-D-1</t>
  </si>
  <si>
    <t>103-M-2</t>
  </si>
  <si>
    <t>104-N-3</t>
  </si>
  <si>
    <t>105-D-2</t>
  </si>
  <si>
    <t>106-N-3</t>
  </si>
  <si>
    <t>107-M-1</t>
  </si>
  <si>
    <t>108-S-2</t>
  </si>
  <si>
    <t>109-D-3</t>
  </si>
  <si>
    <t>110-N-1</t>
  </si>
  <si>
    <t>111-S-2</t>
  </si>
  <si>
    <t>112-M-3</t>
  </si>
  <si>
    <t>113-S-1</t>
  </si>
  <si>
    <t>114-N-3</t>
  </si>
  <si>
    <t>115-D-2</t>
  </si>
  <si>
    <t>116-S-1</t>
  </si>
  <si>
    <t>117-N-1</t>
  </si>
  <si>
    <t>118-S-3</t>
  </si>
  <si>
    <t>119-M-2</t>
  </si>
  <si>
    <t>120-D-3</t>
  </si>
  <si>
    <t>121-S-3</t>
  </si>
  <si>
    <t>122-M-2</t>
  </si>
  <si>
    <t>123-S-1</t>
  </si>
  <si>
    <t>124-D-1</t>
  </si>
  <si>
    <t>125-M-2</t>
  </si>
  <si>
    <t>ゴールド</t>
    <phoneticPr fontId="1"/>
  </si>
  <si>
    <t>シルバー</t>
    <phoneticPr fontId="1"/>
  </si>
  <si>
    <t>一般</t>
    <rPh sb="0" eb="2">
      <t>イッパン</t>
    </rPh>
    <phoneticPr fontId="1"/>
  </si>
  <si>
    <t>ランク</t>
    <phoneticPr fontId="2"/>
  </si>
  <si>
    <t>００－００－０００００</t>
    <phoneticPr fontId="1"/>
  </si>
  <si>
    <t>みほんはなこ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</si>
</sst>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0&quot;名&quot;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1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>
      <alignment vertical="center"/>
    </xf>
    <xf numFmtId="14" fontId="4" fillId="0" borderId="1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0" fontId="4" fillId="2" borderId="5" xfId="0" applyFont="1" applyFill="1" applyBorder="1" applyAlignment="1">
      <alignment horizontal="center" vertical="center"/>
    </xf>
    <xf numFmtId="0" fontId="3" fillId="2" borderId="1" xfId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3" fillId="2" borderId="8" xfId="1" applyFill="1" applyBorder="1" applyAlignment="1">
      <alignment horizontal="center" vertical="center"/>
    </xf>
    <xf numFmtId="0" fontId="3" fillId="2" borderId="5" xfId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177" fontId="4" fillId="0" borderId="1" xfId="0" applyNumberFormat="1" applyFont="1" applyBorder="1">
      <alignment vertical="center"/>
    </xf>
  </cellXfs>
  <cellStyles count="2">
    <cellStyle name="標準" xfId="0" builtinId="0"/>
    <cellStyle name="標準_Sheet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B6706-79F9-4AA4-B414-A4D9D2A9367C}">
  <sheetPr>
    <pageSetUpPr fitToPage="1"/>
  </sheetPr>
  <dimension ref="A1:N32"/>
  <sheetViews>
    <sheetView tabSelected="1" zoomScaleNormal="100" workbookViewId="0">
      <selection activeCell="L13" sqref="L13"/>
    </sheetView>
  </sheetViews>
  <sheetFormatPr defaultColWidth="9.125" defaultRowHeight="13.5"/>
  <cols>
    <col min="1" max="1" width="4" style="1" customWidth="1"/>
    <col min="2" max="2" width="11.125" style="1" bestFit="1" customWidth="1"/>
    <col min="3" max="3" width="13.625" style="1" customWidth="1"/>
    <col min="4" max="4" width="6.625" style="1" customWidth="1"/>
    <col min="5" max="5" width="4.625" style="1" customWidth="1"/>
    <col min="6" max="6" width="13.5" style="1" customWidth="1"/>
    <col min="7" max="7" width="7.625" style="1" customWidth="1"/>
    <col min="8" max="8" width="12.25" style="1" customWidth="1"/>
    <col min="9" max="9" width="10.625" style="1" customWidth="1"/>
    <col min="10" max="10" width="9.25" style="1" customWidth="1"/>
    <col min="11" max="11" width="4.625" style="1" customWidth="1"/>
    <col min="12" max="12" width="9.25" style="1" customWidth="1"/>
    <col min="13" max="13" width="8.125" style="1" customWidth="1"/>
    <col min="14" max="14" width="10.625" style="1" customWidth="1"/>
    <col min="15" max="16384" width="9.125" style="1"/>
  </cols>
  <sheetData>
    <row r="1" spans="1:14">
      <c r="A1" s="1" t="s">
        <v>85</v>
      </c>
    </row>
    <row r="2" spans="1:14">
      <c r="A2" s="1" t="s">
        <v>86</v>
      </c>
    </row>
    <row r="3" spans="1:14" ht="14.25" thickBot="1"/>
    <row r="4" spans="1:14" ht="18" thickBot="1">
      <c r="B4" s="13" t="s">
        <v>39</v>
      </c>
      <c r="C4" s="14"/>
      <c r="D4" s="14"/>
      <c r="E4" s="14"/>
      <c r="F4" s="14"/>
      <c r="G4" s="14"/>
      <c r="H4" s="14"/>
      <c r="I4" s="14"/>
      <c r="J4" s="15"/>
    </row>
    <row r="5" spans="1:14">
      <c r="I5" s="2">
        <v>45332</v>
      </c>
      <c r="J5" s="1" t="s">
        <v>28</v>
      </c>
    </row>
    <row r="6" spans="1:14">
      <c r="B6" s="16" t="s">
        <v>29</v>
      </c>
      <c r="C6" s="18" t="s">
        <v>3</v>
      </c>
      <c r="D6" s="19" t="s">
        <v>30</v>
      </c>
      <c r="E6" s="20"/>
      <c r="F6" s="21" t="s">
        <v>15</v>
      </c>
      <c r="G6" s="7" t="s">
        <v>31</v>
      </c>
      <c r="H6" s="16" t="s">
        <v>40</v>
      </c>
      <c r="I6" s="16" t="s">
        <v>84</v>
      </c>
      <c r="J6" s="18" t="s">
        <v>5</v>
      </c>
      <c r="L6" s="3" t="s">
        <v>32</v>
      </c>
    </row>
    <row r="7" spans="1:14">
      <c r="B7" s="17"/>
      <c r="C7" s="17"/>
      <c r="D7" s="8" t="s">
        <v>33</v>
      </c>
      <c r="E7" s="8" t="s">
        <v>34</v>
      </c>
      <c r="F7" s="22"/>
      <c r="G7" s="9" t="s">
        <v>35</v>
      </c>
      <c r="H7" s="23"/>
      <c r="I7" s="17"/>
      <c r="J7" s="17"/>
      <c r="L7" s="8" t="s">
        <v>36</v>
      </c>
      <c r="M7" s="8" t="s">
        <v>37</v>
      </c>
      <c r="N7" s="10" t="s">
        <v>38</v>
      </c>
    </row>
    <row r="8" spans="1:14">
      <c r="B8" s="4" t="s">
        <v>56</v>
      </c>
      <c r="C8" s="4" t="str">
        <f>VLOOKUP(VALUE(LEFT(B8,3)),会員,2,0)</f>
        <v>嶋元　和則</v>
      </c>
      <c r="D8" s="4">
        <f>YEAR(VLOOKUP(VALUE(LEFT(B8,3)),会員,3,0))</f>
        <v>2021</v>
      </c>
      <c r="E8" s="4">
        <f>MONTH(VLOOKUP(VALUE(LEFT(B8,3)),会員,3,0))</f>
        <v>9</v>
      </c>
      <c r="F8" s="4" t="str">
        <f>VLOOKUP(MID(B8,5,1),種別,2,0)</f>
        <v>モーニング会員</v>
      </c>
      <c r="G8" s="4" t="str">
        <f>CHOOSE(VALUE(RIGHT(B8,1)),"紹介","広告","ネット")</f>
        <v>広告</v>
      </c>
      <c r="H8" s="5">
        <f>DATE(YEAR($I$5),E8+2,1)-1</f>
        <v>45596</v>
      </c>
      <c r="I8" s="4" t="str">
        <f>IF(YEAR($I$5)-D8&gt;=3,"ゴールド",IF(OR(YEAR($I$5)-D8&gt;=2,G8="紹介"),"シルバー","一般"))</f>
        <v>ゴールド</v>
      </c>
      <c r="J8" s="6">
        <f>VLOOKUP(I8,更新料,2,0)</f>
        <v>8800</v>
      </c>
      <c r="L8" s="11">
        <v>2021</v>
      </c>
      <c r="M8" s="24">
        <f>COUNTIF($D$8:$D$32,L8)</f>
        <v>13</v>
      </c>
      <c r="N8" s="6">
        <f>SUMIF($D$8:$D$32,L8,$J$8:$J$32)</f>
        <v>114400</v>
      </c>
    </row>
    <row r="9" spans="1:14">
      <c r="B9" s="4" t="s">
        <v>57</v>
      </c>
      <c r="C9" s="4" t="str">
        <f>VLOOKUP(VALUE(LEFT(B9,3)),会員,2,0)</f>
        <v>塩崎　豊</v>
      </c>
      <c r="D9" s="4">
        <f>YEAR(VLOOKUP(VALUE(LEFT(B9,3)),会員,3,0))</f>
        <v>2021</v>
      </c>
      <c r="E9" s="4">
        <f>MONTH(VLOOKUP(VALUE(LEFT(B9,3)),会員,3,0))</f>
        <v>7</v>
      </c>
      <c r="F9" s="4" t="str">
        <f>VLOOKUP(MID(B9,5,1),種別,2,0)</f>
        <v>終日会員</v>
      </c>
      <c r="G9" s="4" t="str">
        <f t="shared" ref="G9:G32" si="0">CHOOSE(VALUE(RIGHT(B9,1)),"紹介","広告","ネット")</f>
        <v>紹介</v>
      </c>
      <c r="H9" s="5">
        <f t="shared" ref="H9:H32" si="1">DATE(YEAR($I$5),E9+2,1)-1</f>
        <v>45535</v>
      </c>
      <c r="I9" s="4" t="str">
        <f t="shared" ref="I9:I32" si="2">IF(YEAR($I$5)-D9&gt;=3,"ゴールド",IF(OR(YEAR($I$5)-D9&gt;=2,G9="紹介"),"シルバー","一般"))</f>
        <v>ゴールド</v>
      </c>
      <c r="J9" s="6">
        <f>VLOOKUP(I9,更新料,2,0)</f>
        <v>8800</v>
      </c>
      <c r="L9" s="11">
        <v>2022</v>
      </c>
      <c r="M9" s="24">
        <f t="shared" ref="M9:M10" si="3">COUNTIF($D$8:$D$32,L9)</f>
        <v>3</v>
      </c>
      <c r="N9" s="6">
        <f t="shared" ref="N9:N10" si="4">SUMIF($D$8:$D$32,L9,$J$8:$J$32)</f>
        <v>28500</v>
      </c>
    </row>
    <row r="10" spans="1:14">
      <c r="B10" s="4" t="s">
        <v>58</v>
      </c>
      <c r="C10" s="4" t="str">
        <f>VLOOKUP(VALUE(LEFT(B10,3)),会員,2,0)</f>
        <v>杉野　正博</v>
      </c>
      <c r="D10" s="4">
        <f>YEAR(VLOOKUP(VALUE(LEFT(B10,3)),会員,3,0))</f>
        <v>2023</v>
      </c>
      <c r="E10" s="4">
        <f>MONTH(VLOOKUP(VALUE(LEFT(B10,3)),会員,3,0))</f>
        <v>5</v>
      </c>
      <c r="F10" s="4" t="str">
        <f>VLOOKUP(MID(B10,5,1),種別,2,0)</f>
        <v>モーニング会員</v>
      </c>
      <c r="G10" s="4" t="str">
        <f t="shared" si="0"/>
        <v>広告</v>
      </c>
      <c r="H10" s="5">
        <f t="shared" si="1"/>
        <v>45473</v>
      </c>
      <c r="I10" s="4" t="str">
        <f t="shared" si="2"/>
        <v>一般</v>
      </c>
      <c r="J10" s="6">
        <f>VLOOKUP(I10,更新料,2,0)</f>
        <v>10000</v>
      </c>
      <c r="L10" s="11">
        <v>2023</v>
      </c>
      <c r="M10" s="24">
        <f t="shared" si="3"/>
        <v>9</v>
      </c>
      <c r="N10" s="6">
        <f t="shared" si="4"/>
        <v>89000</v>
      </c>
    </row>
    <row r="11" spans="1:14">
      <c r="B11" s="4" t="s">
        <v>59</v>
      </c>
      <c r="C11" s="4" t="str">
        <f>VLOOKUP(VALUE(LEFT(B11,3)),会員,2,0)</f>
        <v>黒川　仁</v>
      </c>
      <c r="D11" s="4">
        <f>YEAR(VLOOKUP(VALUE(LEFT(B11,3)),会員,3,0))</f>
        <v>2022</v>
      </c>
      <c r="E11" s="4">
        <f>MONTH(VLOOKUP(VALUE(LEFT(B11,3)),会員,3,0))</f>
        <v>2</v>
      </c>
      <c r="F11" s="4" t="str">
        <f>VLOOKUP(MID(B11,5,1),種別,2,0)</f>
        <v>ナイト会員</v>
      </c>
      <c r="G11" s="4" t="str">
        <f t="shared" si="0"/>
        <v>ネット</v>
      </c>
      <c r="H11" s="5">
        <f t="shared" si="1"/>
        <v>45382</v>
      </c>
      <c r="I11" s="4" t="str">
        <f t="shared" si="2"/>
        <v>シルバー</v>
      </c>
      <c r="J11" s="6">
        <f>VLOOKUP(I11,更新料,2,0)</f>
        <v>9500</v>
      </c>
    </row>
    <row r="12" spans="1:14">
      <c r="B12" s="4" t="s">
        <v>60</v>
      </c>
      <c r="C12" s="4" t="str">
        <f>VLOOKUP(VALUE(LEFT(B12,3)),会員,2,0)</f>
        <v>小原　まさみ</v>
      </c>
      <c r="D12" s="4">
        <f>YEAR(VLOOKUP(VALUE(LEFT(B12,3)),会員,3,0))</f>
        <v>2023</v>
      </c>
      <c r="E12" s="4">
        <f>MONTH(VLOOKUP(VALUE(LEFT(B12,3)),会員,3,0))</f>
        <v>3</v>
      </c>
      <c r="F12" s="4" t="str">
        <f>VLOOKUP(MID(B12,5,1),種別,2,0)</f>
        <v>終日会員</v>
      </c>
      <c r="G12" s="4" t="str">
        <f t="shared" si="0"/>
        <v>広告</v>
      </c>
      <c r="H12" s="5">
        <f t="shared" si="1"/>
        <v>45412</v>
      </c>
      <c r="I12" s="4" t="str">
        <f t="shared" si="2"/>
        <v>一般</v>
      </c>
      <c r="J12" s="6">
        <f>VLOOKUP(I12,更新料,2,0)</f>
        <v>10000</v>
      </c>
    </row>
    <row r="13" spans="1:14">
      <c r="B13" s="4" t="s">
        <v>61</v>
      </c>
      <c r="C13" s="4" t="str">
        <f>VLOOKUP(VALUE(LEFT(B13,3)),会員,2,0)</f>
        <v>森園　尚美</v>
      </c>
      <c r="D13" s="4">
        <f>YEAR(VLOOKUP(VALUE(LEFT(B13,3)),会員,3,0))</f>
        <v>2021</v>
      </c>
      <c r="E13" s="4">
        <f>MONTH(VLOOKUP(VALUE(LEFT(B13,3)),会員,3,0))</f>
        <v>4</v>
      </c>
      <c r="F13" s="4" t="str">
        <f>VLOOKUP(MID(B13,5,1),種別,2,0)</f>
        <v>ナイト会員</v>
      </c>
      <c r="G13" s="4" t="str">
        <f t="shared" si="0"/>
        <v>ネット</v>
      </c>
      <c r="H13" s="5">
        <f t="shared" si="1"/>
        <v>45443</v>
      </c>
      <c r="I13" s="4" t="str">
        <f t="shared" si="2"/>
        <v>ゴールド</v>
      </c>
      <c r="J13" s="6">
        <f>VLOOKUP(I13,更新料,2,0)</f>
        <v>8800</v>
      </c>
    </row>
    <row r="14" spans="1:14">
      <c r="B14" s="4" t="s">
        <v>62</v>
      </c>
      <c r="C14" s="4" t="str">
        <f>VLOOKUP(VALUE(LEFT(B14,3)),会員,2,0)</f>
        <v>山下　仁美</v>
      </c>
      <c r="D14" s="4">
        <f>YEAR(VLOOKUP(VALUE(LEFT(B14,3)),会員,3,0))</f>
        <v>2021</v>
      </c>
      <c r="E14" s="4">
        <f>MONTH(VLOOKUP(VALUE(LEFT(B14,3)),会員,3,0))</f>
        <v>3</v>
      </c>
      <c r="F14" s="4" t="str">
        <f>VLOOKUP(MID(B14,5,1),種別,2,0)</f>
        <v>モーニング会員</v>
      </c>
      <c r="G14" s="4" t="str">
        <f t="shared" si="0"/>
        <v>紹介</v>
      </c>
      <c r="H14" s="5">
        <f t="shared" si="1"/>
        <v>45412</v>
      </c>
      <c r="I14" s="4" t="str">
        <f t="shared" si="2"/>
        <v>ゴールド</v>
      </c>
      <c r="J14" s="6">
        <f>VLOOKUP(I14,更新料,2,0)</f>
        <v>8800</v>
      </c>
    </row>
    <row r="15" spans="1:14">
      <c r="B15" s="4" t="s">
        <v>63</v>
      </c>
      <c r="C15" s="4" t="str">
        <f>VLOOKUP(VALUE(LEFT(B15,3)),会員,2,0)</f>
        <v>日向　ひとみ</v>
      </c>
      <c r="D15" s="4">
        <f>YEAR(VLOOKUP(VALUE(LEFT(B15,3)),会員,3,0))</f>
        <v>2023</v>
      </c>
      <c r="E15" s="4">
        <f>MONTH(VLOOKUP(VALUE(LEFT(B15,3)),会員,3,0))</f>
        <v>3</v>
      </c>
      <c r="F15" s="4" t="str">
        <f>VLOOKUP(MID(B15,5,1),種別,2,0)</f>
        <v>週末会員</v>
      </c>
      <c r="G15" s="4" t="str">
        <f t="shared" si="0"/>
        <v>広告</v>
      </c>
      <c r="H15" s="5">
        <f t="shared" si="1"/>
        <v>45412</v>
      </c>
      <c r="I15" s="4" t="str">
        <f t="shared" si="2"/>
        <v>一般</v>
      </c>
      <c r="J15" s="6">
        <f>VLOOKUP(I15,更新料,2,0)</f>
        <v>10000</v>
      </c>
    </row>
    <row r="16" spans="1:14">
      <c r="B16" s="4" t="s">
        <v>64</v>
      </c>
      <c r="C16" s="4" t="str">
        <f>VLOOKUP(VALUE(LEFT(B16,3)),会員,2,0)</f>
        <v>山田　正行</v>
      </c>
      <c r="D16" s="4">
        <f>YEAR(VLOOKUP(VALUE(LEFT(B16,3)),会員,3,0))</f>
        <v>2022</v>
      </c>
      <c r="E16" s="4">
        <f>MONTH(VLOOKUP(VALUE(LEFT(B16,3)),会員,3,0))</f>
        <v>8</v>
      </c>
      <c r="F16" s="4" t="str">
        <f>VLOOKUP(MID(B16,5,1),種別,2,0)</f>
        <v>終日会員</v>
      </c>
      <c r="G16" s="4" t="str">
        <f t="shared" si="0"/>
        <v>ネット</v>
      </c>
      <c r="H16" s="5">
        <f t="shared" si="1"/>
        <v>45565</v>
      </c>
      <c r="I16" s="4" t="str">
        <f t="shared" si="2"/>
        <v>シルバー</v>
      </c>
      <c r="J16" s="6">
        <f>VLOOKUP(I16,更新料,2,0)</f>
        <v>9500</v>
      </c>
    </row>
    <row r="17" spans="2:10">
      <c r="B17" s="4" t="s">
        <v>65</v>
      </c>
      <c r="C17" s="4" t="str">
        <f>VLOOKUP(VALUE(LEFT(B17,3)),会員,2,0)</f>
        <v>伊藤　真里亜</v>
      </c>
      <c r="D17" s="4">
        <f>YEAR(VLOOKUP(VALUE(LEFT(B17,3)),会員,3,0))</f>
        <v>2023</v>
      </c>
      <c r="E17" s="4">
        <f>MONTH(VLOOKUP(VALUE(LEFT(B17,3)),会員,3,0))</f>
        <v>6</v>
      </c>
      <c r="F17" s="4" t="str">
        <f>VLOOKUP(MID(B17,5,1),種別,2,0)</f>
        <v>ナイト会員</v>
      </c>
      <c r="G17" s="4" t="str">
        <f t="shared" si="0"/>
        <v>紹介</v>
      </c>
      <c r="H17" s="5">
        <f t="shared" si="1"/>
        <v>45504</v>
      </c>
      <c r="I17" s="4" t="str">
        <f t="shared" si="2"/>
        <v>シルバー</v>
      </c>
      <c r="J17" s="6">
        <f>VLOOKUP(I17,更新料,2,0)</f>
        <v>9500</v>
      </c>
    </row>
    <row r="18" spans="2:10">
      <c r="B18" s="4" t="s">
        <v>66</v>
      </c>
      <c r="C18" s="4" t="str">
        <f>VLOOKUP(VALUE(LEFT(B18,3)),会員,2,0)</f>
        <v>林　聖良</v>
      </c>
      <c r="D18" s="4">
        <f>YEAR(VLOOKUP(VALUE(LEFT(B18,3)),会員,3,0))</f>
        <v>2021</v>
      </c>
      <c r="E18" s="4">
        <f>MONTH(VLOOKUP(VALUE(LEFT(B18,3)),会員,3,0))</f>
        <v>8</v>
      </c>
      <c r="F18" s="4" t="str">
        <f>VLOOKUP(MID(B18,5,1),種別,2,0)</f>
        <v>週末会員</v>
      </c>
      <c r="G18" s="4" t="str">
        <f t="shared" si="0"/>
        <v>広告</v>
      </c>
      <c r="H18" s="5">
        <f t="shared" si="1"/>
        <v>45565</v>
      </c>
      <c r="I18" s="4" t="str">
        <f t="shared" si="2"/>
        <v>ゴールド</v>
      </c>
      <c r="J18" s="6">
        <f>VLOOKUP(I18,更新料,2,0)</f>
        <v>8800</v>
      </c>
    </row>
    <row r="19" spans="2:10">
      <c r="B19" s="4" t="s">
        <v>67</v>
      </c>
      <c r="C19" s="4" t="str">
        <f>VLOOKUP(VALUE(LEFT(B19,3)),会員,2,0)</f>
        <v>向　香澄</v>
      </c>
      <c r="D19" s="4">
        <f>YEAR(VLOOKUP(VALUE(LEFT(B19,3)),会員,3,0))</f>
        <v>2021</v>
      </c>
      <c r="E19" s="4">
        <f>MONTH(VLOOKUP(VALUE(LEFT(B19,3)),会員,3,0))</f>
        <v>12</v>
      </c>
      <c r="F19" s="4" t="str">
        <f>VLOOKUP(MID(B19,5,1),種別,2,0)</f>
        <v>モーニング会員</v>
      </c>
      <c r="G19" s="4" t="str">
        <f t="shared" si="0"/>
        <v>ネット</v>
      </c>
      <c r="H19" s="5">
        <f t="shared" si="1"/>
        <v>45688</v>
      </c>
      <c r="I19" s="4" t="str">
        <f t="shared" si="2"/>
        <v>ゴールド</v>
      </c>
      <c r="J19" s="6">
        <f>VLOOKUP(I19,更新料,2,0)</f>
        <v>8800</v>
      </c>
    </row>
    <row r="20" spans="2:10">
      <c r="B20" s="4" t="s">
        <v>68</v>
      </c>
      <c r="C20" s="4" t="str">
        <f>VLOOKUP(VALUE(LEFT(B20,3)),会員,2,0)</f>
        <v>瀬名　敏美</v>
      </c>
      <c r="D20" s="4">
        <f>YEAR(VLOOKUP(VALUE(LEFT(B20,3)),会員,3,0))</f>
        <v>2021</v>
      </c>
      <c r="E20" s="4">
        <f>MONTH(VLOOKUP(VALUE(LEFT(B20,3)),会員,3,0))</f>
        <v>7</v>
      </c>
      <c r="F20" s="4" t="str">
        <f>VLOOKUP(MID(B20,5,1),種別,2,0)</f>
        <v>週末会員</v>
      </c>
      <c r="G20" s="4" t="str">
        <f t="shared" si="0"/>
        <v>紹介</v>
      </c>
      <c r="H20" s="5">
        <f t="shared" si="1"/>
        <v>45535</v>
      </c>
      <c r="I20" s="4" t="str">
        <f t="shared" si="2"/>
        <v>ゴールド</v>
      </c>
      <c r="J20" s="6">
        <f>VLOOKUP(I20,更新料,2,0)</f>
        <v>8800</v>
      </c>
    </row>
    <row r="21" spans="2:10">
      <c r="B21" s="4" t="s">
        <v>69</v>
      </c>
      <c r="C21" s="4" t="str">
        <f>VLOOKUP(VALUE(LEFT(B21,3)),会員,2,0)</f>
        <v>小沢　沙恵</v>
      </c>
      <c r="D21" s="4">
        <f>YEAR(VLOOKUP(VALUE(LEFT(B21,3)),会員,3,0))</f>
        <v>2023</v>
      </c>
      <c r="E21" s="4">
        <f>MONTH(VLOOKUP(VALUE(LEFT(B21,3)),会員,3,0))</f>
        <v>3</v>
      </c>
      <c r="F21" s="4" t="str">
        <f>VLOOKUP(MID(B21,5,1),種別,2,0)</f>
        <v>ナイト会員</v>
      </c>
      <c r="G21" s="4" t="str">
        <f t="shared" si="0"/>
        <v>ネット</v>
      </c>
      <c r="H21" s="5">
        <f t="shared" si="1"/>
        <v>45412</v>
      </c>
      <c r="I21" s="4" t="str">
        <f t="shared" si="2"/>
        <v>一般</v>
      </c>
      <c r="J21" s="6">
        <f>VLOOKUP(I21,更新料,2,0)</f>
        <v>10000</v>
      </c>
    </row>
    <row r="22" spans="2:10">
      <c r="B22" s="4" t="s">
        <v>70</v>
      </c>
      <c r="C22" s="4" t="str">
        <f>VLOOKUP(VALUE(LEFT(B22,3)),会員,2,0)</f>
        <v>大村　悟志</v>
      </c>
      <c r="D22" s="4">
        <f>YEAR(VLOOKUP(VALUE(LEFT(B22,3)),会員,3,0))</f>
        <v>2021</v>
      </c>
      <c r="E22" s="4">
        <f>MONTH(VLOOKUP(VALUE(LEFT(B22,3)),会員,3,0))</f>
        <v>7</v>
      </c>
      <c r="F22" s="4" t="str">
        <f>VLOOKUP(MID(B22,5,1),種別,2,0)</f>
        <v>終日会員</v>
      </c>
      <c r="G22" s="4" t="str">
        <f t="shared" si="0"/>
        <v>広告</v>
      </c>
      <c r="H22" s="5">
        <f t="shared" si="1"/>
        <v>45535</v>
      </c>
      <c r="I22" s="4" t="str">
        <f t="shared" si="2"/>
        <v>ゴールド</v>
      </c>
      <c r="J22" s="6">
        <f>VLOOKUP(I22,更新料,2,0)</f>
        <v>8800</v>
      </c>
    </row>
    <row r="23" spans="2:10">
      <c r="B23" s="4" t="s">
        <v>71</v>
      </c>
      <c r="C23" s="4" t="str">
        <f>VLOOKUP(VALUE(LEFT(B23,3)),会員,2,0)</f>
        <v>織田　邦義</v>
      </c>
      <c r="D23" s="4">
        <f>YEAR(VLOOKUP(VALUE(LEFT(B23,3)),会員,3,0))</f>
        <v>2021</v>
      </c>
      <c r="E23" s="4">
        <f>MONTH(VLOOKUP(VALUE(LEFT(B23,3)),会員,3,0))</f>
        <v>7</v>
      </c>
      <c r="F23" s="4" t="str">
        <f>VLOOKUP(MID(B23,5,1),種別,2,0)</f>
        <v>週末会員</v>
      </c>
      <c r="G23" s="4" t="str">
        <f t="shared" si="0"/>
        <v>紹介</v>
      </c>
      <c r="H23" s="5">
        <f t="shared" si="1"/>
        <v>45535</v>
      </c>
      <c r="I23" s="4" t="str">
        <f t="shared" si="2"/>
        <v>ゴールド</v>
      </c>
      <c r="J23" s="6">
        <f>VLOOKUP(I23,更新料,2,0)</f>
        <v>8800</v>
      </c>
    </row>
    <row r="24" spans="2:10">
      <c r="B24" s="4" t="s">
        <v>72</v>
      </c>
      <c r="C24" s="4" t="str">
        <f>VLOOKUP(VALUE(LEFT(B24,3)),会員,2,0)</f>
        <v>戸田　さえ子</v>
      </c>
      <c r="D24" s="4">
        <f>YEAR(VLOOKUP(VALUE(LEFT(B24,3)),会員,3,0))</f>
        <v>2021</v>
      </c>
      <c r="E24" s="4">
        <f>MONTH(VLOOKUP(VALUE(LEFT(B24,3)),会員,3,0))</f>
        <v>6</v>
      </c>
      <c r="F24" s="4" t="str">
        <f>VLOOKUP(MID(B24,5,1),種別,2,0)</f>
        <v>ナイト会員</v>
      </c>
      <c r="G24" s="4" t="str">
        <f t="shared" si="0"/>
        <v>紹介</v>
      </c>
      <c r="H24" s="5">
        <f t="shared" si="1"/>
        <v>45504</v>
      </c>
      <c r="I24" s="4" t="str">
        <f t="shared" si="2"/>
        <v>ゴールド</v>
      </c>
      <c r="J24" s="6">
        <f>VLOOKUP(I24,更新料,2,0)</f>
        <v>8800</v>
      </c>
    </row>
    <row r="25" spans="2:10">
      <c r="B25" s="4" t="s">
        <v>73</v>
      </c>
      <c r="C25" s="4" t="str">
        <f>VLOOKUP(VALUE(LEFT(B25,3)),会員,2,0)</f>
        <v>小宮　宗一郎</v>
      </c>
      <c r="D25" s="4">
        <f>YEAR(VLOOKUP(VALUE(LEFT(B25,3)),会員,3,0))</f>
        <v>2022</v>
      </c>
      <c r="E25" s="4">
        <f>MONTH(VLOOKUP(VALUE(LEFT(B25,3)),会員,3,0))</f>
        <v>5</v>
      </c>
      <c r="F25" s="4" t="str">
        <f>VLOOKUP(MID(B25,5,1),種別,2,0)</f>
        <v>週末会員</v>
      </c>
      <c r="G25" s="4" t="str">
        <f t="shared" si="0"/>
        <v>ネット</v>
      </c>
      <c r="H25" s="5">
        <f t="shared" si="1"/>
        <v>45473</v>
      </c>
      <c r="I25" s="4" t="str">
        <f t="shared" si="2"/>
        <v>シルバー</v>
      </c>
      <c r="J25" s="6">
        <f>VLOOKUP(I25,更新料,2,0)</f>
        <v>9500</v>
      </c>
    </row>
    <row r="26" spans="2:10">
      <c r="B26" s="4" t="s">
        <v>74</v>
      </c>
      <c r="C26" s="4" t="str">
        <f>VLOOKUP(VALUE(LEFT(B26,3)),会員,2,0)</f>
        <v>海野　和夫</v>
      </c>
      <c r="D26" s="4">
        <f>YEAR(VLOOKUP(VALUE(LEFT(B26,3)),会員,3,0))</f>
        <v>2023</v>
      </c>
      <c r="E26" s="4">
        <f>MONTH(VLOOKUP(VALUE(LEFT(B26,3)),会員,3,0))</f>
        <v>2</v>
      </c>
      <c r="F26" s="4" t="str">
        <f>VLOOKUP(MID(B26,5,1),種別,2,0)</f>
        <v>モーニング会員</v>
      </c>
      <c r="G26" s="4" t="str">
        <f t="shared" si="0"/>
        <v>広告</v>
      </c>
      <c r="H26" s="5">
        <f t="shared" si="1"/>
        <v>45382</v>
      </c>
      <c r="I26" s="4" t="str">
        <f t="shared" si="2"/>
        <v>一般</v>
      </c>
      <c r="J26" s="6">
        <f>VLOOKUP(I26,更新料,2,0)</f>
        <v>10000</v>
      </c>
    </row>
    <row r="27" spans="2:10">
      <c r="B27" s="4" t="s">
        <v>75</v>
      </c>
      <c r="C27" s="4" t="str">
        <f>VLOOKUP(VALUE(LEFT(B27,3)),会員,2,0)</f>
        <v>二階堂　直哉</v>
      </c>
      <c r="D27" s="4">
        <f>YEAR(VLOOKUP(VALUE(LEFT(B27,3)),会員,3,0))</f>
        <v>2021</v>
      </c>
      <c r="E27" s="4">
        <f>MONTH(VLOOKUP(VALUE(LEFT(B27,3)),会員,3,0))</f>
        <v>7</v>
      </c>
      <c r="F27" s="4" t="str">
        <f>VLOOKUP(MID(B27,5,1),種別,2,0)</f>
        <v>終日会員</v>
      </c>
      <c r="G27" s="4" t="str">
        <f t="shared" si="0"/>
        <v>ネット</v>
      </c>
      <c r="H27" s="5">
        <f t="shared" si="1"/>
        <v>45535</v>
      </c>
      <c r="I27" s="4" t="str">
        <f t="shared" si="2"/>
        <v>ゴールド</v>
      </c>
      <c r="J27" s="6">
        <f>VLOOKUP(I27,更新料,2,0)</f>
        <v>8800</v>
      </c>
    </row>
    <row r="28" spans="2:10">
      <c r="B28" s="4" t="s">
        <v>76</v>
      </c>
      <c r="C28" s="4" t="str">
        <f>VLOOKUP(VALUE(LEFT(B28,3)),会員,2,0)</f>
        <v>江戸　美佐恵</v>
      </c>
      <c r="D28" s="4">
        <f>YEAR(VLOOKUP(VALUE(LEFT(B28,3)),会員,3,0))</f>
        <v>2021</v>
      </c>
      <c r="E28" s="4">
        <f>MONTH(VLOOKUP(VALUE(LEFT(B28,3)),会員,3,0))</f>
        <v>8</v>
      </c>
      <c r="F28" s="4" t="str">
        <f>VLOOKUP(MID(B28,5,1),種別,2,0)</f>
        <v>週末会員</v>
      </c>
      <c r="G28" s="4" t="str">
        <f t="shared" si="0"/>
        <v>ネット</v>
      </c>
      <c r="H28" s="5">
        <f t="shared" si="1"/>
        <v>45565</v>
      </c>
      <c r="I28" s="4" t="str">
        <f t="shared" si="2"/>
        <v>ゴールド</v>
      </c>
      <c r="J28" s="6">
        <f>VLOOKUP(I28,更新料,2,0)</f>
        <v>8800</v>
      </c>
    </row>
    <row r="29" spans="2:10">
      <c r="B29" s="4" t="s">
        <v>77</v>
      </c>
      <c r="C29" s="4" t="str">
        <f>VLOOKUP(VALUE(LEFT(B29,3)),会員,2,0)</f>
        <v>森繁　華</v>
      </c>
      <c r="D29" s="4">
        <f>YEAR(VLOOKUP(VALUE(LEFT(B29,3)),会員,3,0))</f>
        <v>2023</v>
      </c>
      <c r="E29" s="4">
        <f>MONTH(VLOOKUP(VALUE(LEFT(B29,3)),会員,3,0))</f>
        <v>11</v>
      </c>
      <c r="F29" s="4" t="str">
        <f>VLOOKUP(MID(B29,5,1),種別,2,0)</f>
        <v>モーニング会員</v>
      </c>
      <c r="G29" s="4" t="str">
        <f t="shared" si="0"/>
        <v>広告</v>
      </c>
      <c r="H29" s="5">
        <f t="shared" si="1"/>
        <v>45657</v>
      </c>
      <c r="I29" s="4" t="str">
        <f t="shared" si="2"/>
        <v>一般</v>
      </c>
      <c r="J29" s="6">
        <f>VLOOKUP(I29,更新料,2,0)</f>
        <v>10000</v>
      </c>
    </row>
    <row r="30" spans="2:10">
      <c r="B30" s="4" t="s">
        <v>78</v>
      </c>
      <c r="C30" s="4" t="str">
        <f>VLOOKUP(VALUE(LEFT(B30,3)),会員,2,0)</f>
        <v>神崎　幸樹</v>
      </c>
      <c r="D30" s="4">
        <f>YEAR(VLOOKUP(VALUE(LEFT(B30,3)),会員,3,0))</f>
        <v>2021</v>
      </c>
      <c r="E30" s="4">
        <f>MONTH(VLOOKUP(VALUE(LEFT(B30,3)),会員,3,0))</f>
        <v>5</v>
      </c>
      <c r="F30" s="4" t="str">
        <f>VLOOKUP(MID(B30,5,1),種別,2,0)</f>
        <v>週末会員</v>
      </c>
      <c r="G30" s="4" t="str">
        <f t="shared" si="0"/>
        <v>紹介</v>
      </c>
      <c r="H30" s="5">
        <f t="shared" si="1"/>
        <v>45473</v>
      </c>
      <c r="I30" s="4" t="str">
        <f t="shared" si="2"/>
        <v>ゴールド</v>
      </c>
      <c r="J30" s="6">
        <f>VLOOKUP(I30,更新料,2,0)</f>
        <v>8800</v>
      </c>
    </row>
    <row r="31" spans="2:10">
      <c r="B31" s="4" t="s">
        <v>79</v>
      </c>
      <c r="C31" s="4" t="str">
        <f>VLOOKUP(VALUE(LEFT(B31,3)),会員,2,0)</f>
        <v>城崎　えりな</v>
      </c>
      <c r="D31" s="4">
        <f>YEAR(VLOOKUP(VALUE(LEFT(B31,3)),会員,3,0))</f>
        <v>2023</v>
      </c>
      <c r="E31" s="4">
        <f>MONTH(VLOOKUP(VALUE(LEFT(B31,3)),会員,3,0))</f>
        <v>3</v>
      </c>
      <c r="F31" s="4" t="str">
        <f>VLOOKUP(MID(B31,5,1),種別,2,0)</f>
        <v>終日会員</v>
      </c>
      <c r="G31" s="4" t="str">
        <f t="shared" si="0"/>
        <v>紹介</v>
      </c>
      <c r="H31" s="5">
        <f t="shared" si="1"/>
        <v>45412</v>
      </c>
      <c r="I31" s="4" t="str">
        <f t="shared" si="2"/>
        <v>シルバー</v>
      </c>
      <c r="J31" s="6">
        <f>VLOOKUP(I31,更新料,2,0)</f>
        <v>9500</v>
      </c>
    </row>
    <row r="32" spans="2:10">
      <c r="B32" s="4" t="s">
        <v>80</v>
      </c>
      <c r="C32" s="4" t="str">
        <f>VLOOKUP(VALUE(LEFT(B32,3)),会員,2,0)</f>
        <v>赤木　信吾</v>
      </c>
      <c r="D32" s="4">
        <f>YEAR(VLOOKUP(VALUE(LEFT(B32,3)),会員,3,0))</f>
        <v>2023</v>
      </c>
      <c r="E32" s="4">
        <f>MONTH(VLOOKUP(VALUE(LEFT(B32,3)),会員,3,0))</f>
        <v>1</v>
      </c>
      <c r="F32" s="4" t="str">
        <f>VLOOKUP(MID(B32,5,1),種別,2,0)</f>
        <v>モーニング会員</v>
      </c>
      <c r="G32" s="4" t="str">
        <f t="shared" si="0"/>
        <v>広告</v>
      </c>
      <c r="H32" s="5">
        <f t="shared" si="1"/>
        <v>45351</v>
      </c>
      <c r="I32" s="4" t="str">
        <f t="shared" si="2"/>
        <v>一般</v>
      </c>
      <c r="J32" s="6">
        <f>VLOOKUP(I32,更新料,2,0)</f>
        <v>10000</v>
      </c>
    </row>
  </sheetData>
  <mergeCells count="8">
    <mergeCell ref="B4:J4"/>
    <mergeCell ref="B6:B7"/>
    <mergeCell ref="C6:C7"/>
    <mergeCell ref="D6:E6"/>
    <mergeCell ref="F6:F7"/>
    <mergeCell ref="H6:H7"/>
    <mergeCell ref="I6:I7"/>
    <mergeCell ref="J6:J7"/>
  </mergeCells>
  <phoneticPr fontId="1"/>
  <pageMargins left="0.7" right="0.7" top="0.75" bottom="0.75" header="0.3" footer="0.3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28"/>
  <sheetViews>
    <sheetView workbookViewId="0">
      <selection activeCell="G8" sqref="G8"/>
    </sheetView>
  </sheetViews>
  <sheetFormatPr defaultColWidth="9.125" defaultRowHeight="13.5"/>
  <cols>
    <col min="1" max="1" width="4" style="1" customWidth="1"/>
    <col min="2" max="2" width="7.25" style="1" customWidth="1"/>
    <col min="3" max="3" width="13.625" style="1" customWidth="1"/>
    <col min="4" max="4" width="12.5" style="1" customWidth="1"/>
    <col min="5" max="5" width="9.125" style="1"/>
    <col min="6" max="6" width="7.625" style="1" customWidth="1"/>
    <col min="7" max="7" width="13.5" style="1" customWidth="1"/>
    <col min="8" max="16384" width="9.125" style="1"/>
  </cols>
  <sheetData>
    <row r="2" spans="2:7">
      <c r="B2" s="3" t="s">
        <v>0</v>
      </c>
      <c r="D2" s="3"/>
      <c r="F2" s="3" t="s">
        <v>1</v>
      </c>
    </row>
    <row r="3" spans="2:7">
      <c r="B3" s="11" t="s">
        <v>2</v>
      </c>
      <c r="C3" s="11" t="s">
        <v>3</v>
      </c>
      <c r="D3" s="11" t="s">
        <v>4</v>
      </c>
      <c r="F3" s="11" t="s">
        <v>54</v>
      </c>
      <c r="G3" s="11" t="s">
        <v>5</v>
      </c>
    </row>
    <row r="4" spans="2:7">
      <c r="B4" s="4">
        <v>101</v>
      </c>
      <c r="C4" s="4" t="s">
        <v>10</v>
      </c>
      <c r="D4" s="5">
        <v>44442</v>
      </c>
      <c r="F4" s="4" t="s">
        <v>83</v>
      </c>
      <c r="G4" s="4">
        <v>10000</v>
      </c>
    </row>
    <row r="5" spans="2:7">
      <c r="B5" s="4">
        <v>102</v>
      </c>
      <c r="C5" s="4" t="s">
        <v>27</v>
      </c>
      <c r="D5" s="5">
        <v>44408</v>
      </c>
      <c r="F5" s="4" t="s">
        <v>82</v>
      </c>
      <c r="G5" s="4">
        <v>9500</v>
      </c>
    </row>
    <row r="6" spans="2:7">
      <c r="B6" s="4">
        <v>103</v>
      </c>
      <c r="C6" s="4" t="s">
        <v>41</v>
      </c>
      <c r="D6" s="5">
        <v>45064</v>
      </c>
      <c r="F6" s="4" t="s">
        <v>81</v>
      </c>
      <c r="G6" s="4">
        <v>8800</v>
      </c>
    </row>
    <row r="7" spans="2:7">
      <c r="B7" s="4">
        <v>104</v>
      </c>
      <c r="C7" s="4" t="s">
        <v>24</v>
      </c>
      <c r="D7" s="5">
        <v>44603</v>
      </c>
    </row>
    <row r="8" spans="2:7">
      <c r="B8" s="4">
        <v>105</v>
      </c>
      <c r="C8" s="4" t="s">
        <v>26</v>
      </c>
      <c r="D8" s="5">
        <v>45016</v>
      </c>
    </row>
    <row r="9" spans="2:7">
      <c r="B9" s="4">
        <v>106</v>
      </c>
      <c r="C9" s="4" t="s">
        <v>25</v>
      </c>
      <c r="D9" s="5">
        <v>44298</v>
      </c>
    </row>
    <row r="10" spans="2:7">
      <c r="B10" s="4">
        <v>107</v>
      </c>
      <c r="C10" s="4" t="s">
        <v>48</v>
      </c>
      <c r="D10" s="5">
        <v>44258</v>
      </c>
    </row>
    <row r="11" spans="2:7">
      <c r="B11" s="4">
        <v>108</v>
      </c>
      <c r="C11" s="4" t="s">
        <v>19</v>
      </c>
      <c r="D11" s="5">
        <v>44998</v>
      </c>
      <c r="F11" s="3" t="s">
        <v>53</v>
      </c>
    </row>
    <row r="12" spans="2:7">
      <c r="B12" s="4">
        <v>109</v>
      </c>
      <c r="C12" s="4" t="s">
        <v>9</v>
      </c>
      <c r="D12" s="5">
        <v>44790</v>
      </c>
      <c r="F12" s="11" t="s">
        <v>55</v>
      </c>
      <c r="G12" s="11" t="s">
        <v>15</v>
      </c>
    </row>
    <row r="13" spans="2:7">
      <c r="B13" s="4">
        <v>110</v>
      </c>
      <c r="C13" s="4" t="s">
        <v>47</v>
      </c>
      <c r="D13" s="5">
        <v>45103</v>
      </c>
      <c r="F13" s="12" t="s">
        <v>16</v>
      </c>
      <c r="G13" s="4" t="s">
        <v>49</v>
      </c>
    </row>
    <row r="14" spans="2:7">
      <c r="B14" s="4">
        <v>111</v>
      </c>
      <c r="C14" s="4" t="s">
        <v>23</v>
      </c>
      <c r="D14" s="5">
        <v>44418</v>
      </c>
      <c r="F14" s="12" t="s">
        <v>18</v>
      </c>
      <c r="G14" s="4" t="s">
        <v>50</v>
      </c>
    </row>
    <row r="15" spans="2:7">
      <c r="B15" s="4">
        <v>112</v>
      </c>
      <c r="C15" s="4" t="s">
        <v>44</v>
      </c>
      <c r="D15" s="5">
        <v>44549</v>
      </c>
      <c r="F15" s="12" t="s">
        <v>20</v>
      </c>
      <c r="G15" s="4" t="s">
        <v>51</v>
      </c>
    </row>
    <row r="16" spans="2:7">
      <c r="B16" s="4">
        <v>113</v>
      </c>
      <c r="C16" s="4" t="s">
        <v>17</v>
      </c>
      <c r="D16" s="5">
        <v>44407</v>
      </c>
      <c r="F16" s="12" t="s">
        <v>21</v>
      </c>
      <c r="G16" s="4" t="s">
        <v>52</v>
      </c>
    </row>
    <row r="17" spans="2:4">
      <c r="B17" s="4">
        <v>114</v>
      </c>
      <c r="C17" s="4" t="s">
        <v>11</v>
      </c>
      <c r="D17" s="5">
        <v>44992</v>
      </c>
    </row>
    <row r="18" spans="2:4">
      <c r="B18" s="4">
        <v>115</v>
      </c>
      <c r="C18" s="4" t="s">
        <v>43</v>
      </c>
      <c r="D18" s="5">
        <v>44388</v>
      </c>
    </row>
    <row r="19" spans="2:4">
      <c r="B19" s="4">
        <v>116</v>
      </c>
      <c r="C19" s="4" t="s">
        <v>6</v>
      </c>
      <c r="D19" s="5">
        <v>44394</v>
      </c>
    </row>
    <row r="20" spans="2:4">
      <c r="B20" s="4">
        <v>117</v>
      </c>
      <c r="C20" s="4" t="s">
        <v>42</v>
      </c>
      <c r="D20" s="5">
        <v>44351</v>
      </c>
    </row>
    <row r="21" spans="2:4">
      <c r="B21" s="4">
        <v>118</v>
      </c>
      <c r="C21" s="4" t="s">
        <v>14</v>
      </c>
      <c r="D21" s="5">
        <v>44707</v>
      </c>
    </row>
    <row r="22" spans="2:4">
      <c r="B22" s="4">
        <v>119</v>
      </c>
      <c r="C22" s="4" t="s">
        <v>7</v>
      </c>
      <c r="D22" s="5">
        <v>44985</v>
      </c>
    </row>
    <row r="23" spans="2:4">
      <c r="B23" s="4">
        <v>120</v>
      </c>
      <c r="C23" s="4" t="s">
        <v>8</v>
      </c>
      <c r="D23" s="5">
        <v>44404</v>
      </c>
    </row>
    <row r="24" spans="2:4">
      <c r="B24" s="4">
        <v>121</v>
      </c>
      <c r="C24" s="4" t="s">
        <v>13</v>
      </c>
      <c r="D24" s="5">
        <v>44433</v>
      </c>
    </row>
    <row r="25" spans="2:4">
      <c r="B25" s="4">
        <v>122</v>
      </c>
      <c r="C25" s="4" t="s">
        <v>12</v>
      </c>
      <c r="D25" s="5">
        <v>45251</v>
      </c>
    </row>
    <row r="26" spans="2:4">
      <c r="B26" s="4">
        <v>123</v>
      </c>
      <c r="C26" s="4" t="s">
        <v>22</v>
      </c>
      <c r="D26" s="5">
        <v>44336</v>
      </c>
    </row>
    <row r="27" spans="2:4">
      <c r="B27" s="4">
        <v>124</v>
      </c>
      <c r="C27" s="4" t="s">
        <v>45</v>
      </c>
      <c r="D27" s="5">
        <v>44991</v>
      </c>
    </row>
    <row r="28" spans="2:4">
      <c r="B28" s="4">
        <v>125</v>
      </c>
      <c r="C28" s="4" t="s">
        <v>46</v>
      </c>
      <c r="D28" s="5">
        <v>44957</v>
      </c>
    </row>
  </sheetData>
  <sortState xmlns:xlrd2="http://schemas.microsoft.com/office/spreadsheetml/2017/richdata2" ref="B4:D28">
    <sortCondition ref="D4:D28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とりまとめ表</vt:lpstr>
      <vt:lpstr>一覧表</vt:lpstr>
      <vt:lpstr>会員</vt:lpstr>
      <vt:lpstr>更新料</vt:lpstr>
      <vt:lpstr>種別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2024-03-05T08:11:51Z</cp:lastPrinted>
  <dcterms:created xsi:type="dcterms:W3CDTF">2018-04-19T01:21:17Z</dcterms:created>
  <dcterms:modified xsi:type="dcterms:W3CDTF">2024-04-24T06:06:30Z</dcterms:modified>
</cp:coreProperties>
</file>